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Writing\Interference Analysis\Deliverables\Chapter 3\"/>
    </mc:Choice>
  </mc:AlternateContent>
  <bookViews>
    <workbookView xWindow="0" yWindow="0" windowWidth="14430" windowHeight="7155" activeTab="8"/>
  </bookViews>
  <sheets>
    <sheet name="Constants" sheetId="1" r:id="rId1"/>
    <sheet name="EarthPos" sheetId="2" r:id="rId2"/>
    <sheet name="GSOPos" sheetId="3" r:id="rId3"/>
    <sheet name="DistAngles" sheetId="4" r:id="rId4"/>
    <sheet name="Pattern" sheetId="6" r:id="rId5"/>
    <sheet name="LBs" sheetId="5" r:id="rId6"/>
    <sheet name="Shannon" sheetId="7" r:id="rId7"/>
    <sheet name="Noise" sheetId="8" r:id="rId8"/>
    <sheet name="Delay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9" l="1"/>
  <c r="C12" i="9"/>
  <c r="B12" i="9"/>
  <c r="D9" i="9"/>
  <c r="C9" i="9"/>
  <c r="B9" i="9"/>
  <c r="D8" i="9"/>
  <c r="C8" i="9"/>
  <c r="B8" i="9"/>
  <c r="D6" i="9"/>
  <c r="D7" i="9" s="1"/>
  <c r="C6" i="9"/>
  <c r="C7" i="9" s="1"/>
  <c r="B6" i="9"/>
  <c r="B7" i="9" s="1"/>
  <c r="D2" i="9"/>
  <c r="B13" i="6" l="1"/>
  <c r="B12" i="6"/>
  <c r="C12" i="6"/>
  <c r="K6" i="5"/>
  <c r="K14" i="5"/>
  <c r="J14" i="5"/>
  <c r="I14" i="5"/>
  <c r="K9" i="5"/>
  <c r="J9" i="5"/>
  <c r="I9" i="5"/>
  <c r="K13" i="5"/>
  <c r="J13" i="5"/>
  <c r="I13" i="5"/>
  <c r="K12" i="5"/>
  <c r="J12" i="5"/>
  <c r="I12" i="5"/>
  <c r="K10" i="5"/>
  <c r="J10" i="5"/>
  <c r="I10" i="5"/>
  <c r="K11" i="5"/>
  <c r="J11" i="5"/>
  <c r="I11" i="5"/>
  <c r="K8" i="5"/>
  <c r="J8" i="5"/>
  <c r="I8" i="5"/>
  <c r="K7" i="5"/>
  <c r="J7" i="5"/>
  <c r="I7" i="5"/>
  <c r="K5" i="5"/>
  <c r="J5" i="5"/>
  <c r="I5" i="5"/>
  <c r="K4" i="5"/>
  <c r="J4" i="5"/>
  <c r="I4" i="5"/>
  <c r="K3" i="5"/>
  <c r="J3" i="5"/>
  <c r="I3" i="5"/>
  <c r="K2" i="5"/>
  <c r="J2" i="5"/>
  <c r="F23" i="4"/>
  <c r="F22" i="4"/>
  <c r="C5" i="5"/>
  <c r="B5" i="5"/>
  <c r="C6" i="5"/>
  <c r="C5" i="6"/>
  <c r="C8" i="6"/>
  <c r="C11" i="6" s="1"/>
  <c r="F24" i="4"/>
  <c r="F19" i="4"/>
  <c r="F18" i="4"/>
  <c r="F17" i="4"/>
  <c r="F15" i="4"/>
  <c r="F14" i="4"/>
  <c r="F13" i="4"/>
  <c r="B17" i="4"/>
  <c r="B13" i="4"/>
  <c r="B19" i="4"/>
  <c r="B18" i="4"/>
  <c r="C9" i="6" l="1"/>
  <c r="C14" i="6"/>
  <c r="C18" i="6" s="1"/>
  <c r="J11" i="8"/>
  <c r="H13" i="8"/>
  <c r="H14" i="8" s="1"/>
  <c r="J5" i="8" s="1"/>
  <c r="H11" i="8"/>
  <c r="H12" i="8" s="1"/>
  <c r="B11" i="8"/>
  <c r="B17" i="8" s="1"/>
  <c r="B18" i="8" s="1"/>
  <c r="B19" i="8" s="1"/>
  <c r="E11" i="8"/>
  <c r="E12" i="8" s="1"/>
  <c r="C17" i="6" l="1"/>
  <c r="C13" i="6" s="1"/>
  <c r="C10" i="6"/>
  <c r="B12" i="8"/>
  <c r="E17" i="8"/>
  <c r="H17" i="8"/>
  <c r="H18" i="8" s="1"/>
  <c r="H19" i="8" s="1"/>
  <c r="J12" i="8"/>
  <c r="J17" i="8" s="1"/>
  <c r="E18" i="8"/>
  <c r="E19" i="8" s="1"/>
  <c r="C6" i="7"/>
  <c r="B6" i="7"/>
  <c r="J18" i="8" l="1"/>
  <c r="J19" i="8" s="1"/>
  <c r="B8" i="6"/>
  <c r="B9" i="6" l="1"/>
  <c r="B19" i="5"/>
  <c r="B11" i="6" l="1"/>
  <c r="B17" i="6"/>
  <c r="B10" i="6"/>
  <c r="B10" i="5" l="1"/>
  <c r="C10" i="5" s="1"/>
  <c r="B15" i="4" l="1"/>
  <c r="B14" i="4"/>
  <c r="C6" i="3"/>
  <c r="C5" i="3"/>
  <c r="C9" i="3" s="1"/>
  <c r="B6" i="3"/>
  <c r="B5" i="3"/>
  <c r="B7" i="1"/>
  <c r="C9" i="2"/>
  <c r="C8" i="2"/>
  <c r="C7" i="2"/>
  <c r="B9" i="2"/>
  <c r="B8" i="2"/>
  <c r="B7" i="2"/>
  <c r="C11" i="2" l="1"/>
  <c r="B11" i="2"/>
  <c r="B23" i="4"/>
  <c r="C7" i="5" s="1"/>
  <c r="C17" i="5" s="1"/>
  <c r="B22" i="4"/>
  <c r="B7" i="5" s="1"/>
  <c r="B9" i="3"/>
  <c r="B4" i="1"/>
  <c r="B17" i="5" l="1"/>
  <c r="B18" i="5" s="1"/>
  <c r="B22" i="5" s="1"/>
  <c r="B24" i="4"/>
  <c r="B5" i="6" l="1"/>
  <c r="C9" i="5"/>
  <c r="B14" i="6" l="1"/>
  <c r="B18" i="6" s="1"/>
  <c r="C11" i="5" s="1"/>
  <c r="C18" i="5" s="1"/>
  <c r="B23" i="5" l="1"/>
  <c r="B24" i="5" s="1"/>
  <c r="B26" i="5"/>
  <c r="B25" i="5"/>
</calcChain>
</file>

<file path=xl/sharedStrings.xml><?xml version="1.0" encoding="utf-8"?>
<sst xmlns="http://schemas.openxmlformats.org/spreadsheetml/2006/main" count="184" uniqueCount="106">
  <si>
    <t>Field</t>
  </si>
  <si>
    <t>Value</t>
  </si>
  <si>
    <t>Speed of light (m/s)</t>
  </si>
  <si>
    <t>Boltzmann's constant (J/K)</t>
  </si>
  <si>
    <t>Boltzmann's constant (dBJ/K)</t>
  </si>
  <si>
    <t>Mean equatorial radius of the Earth (km)</t>
  </si>
  <si>
    <t>Earth to vector</t>
  </si>
  <si>
    <t>Longitude (deg E)</t>
  </si>
  <si>
    <t>Latitude (deg N)</t>
  </si>
  <si>
    <t>Height (m)</t>
  </si>
  <si>
    <t>Position</t>
  </si>
  <si>
    <t>x (km)</t>
  </si>
  <si>
    <t>y (km)</t>
  </si>
  <si>
    <t>z (km)</t>
  </si>
  <si>
    <t>London</t>
  </si>
  <si>
    <t>Paris</t>
  </si>
  <si>
    <t>Check: r</t>
  </si>
  <si>
    <t>Gravitational constant (km^3/s^2)</t>
  </si>
  <si>
    <t>Rotation rate of Earth (deg/sec)</t>
  </si>
  <si>
    <t>Height of Geostationary orbit (km)</t>
  </si>
  <si>
    <t>Europe-1</t>
  </si>
  <si>
    <t>Europe-2</t>
  </si>
  <si>
    <t>Distances angles</t>
  </si>
  <si>
    <t>Tx station</t>
  </si>
  <si>
    <t>Rx station</t>
  </si>
  <si>
    <t>Wanted distance (km)</t>
  </si>
  <si>
    <t>Interfering distance (km)</t>
  </si>
  <si>
    <t>Wanted vector</t>
  </si>
  <si>
    <t>Interfering vector</t>
  </si>
  <si>
    <t>Angle to interferer (deg)</t>
  </si>
  <si>
    <t>Outputs</t>
  </si>
  <si>
    <t>Scenario</t>
  </si>
  <si>
    <t>Inputs</t>
  </si>
  <si>
    <t>Frequency (MHz)</t>
  </si>
  <si>
    <t>Transmit power (dBW)</t>
  </si>
  <si>
    <t>Distance (km)</t>
  </si>
  <si>
    <t>Other propagation losses (dB)</t>
  </si>
  <si>
    <t>Receive losses (dB)</t>
  </si>
  <si>
    <t>Receiver temperature (k)</t>
  </si>
  <si>
    <t>Bandwith (MHz)</t>
  </si>
  <si>
    <t>Derived</t>
  </si>
  <si>
    <t>Free space path loss (dB)</t>
  </si>
  <si>
    <t>Receive noise (dBW)</t>
  </si>
  <si>
    <t>Result</t>
  </si>
  <si>
    <t>C/N (dB)</t>
  </si>
  <si>
    <t>Wanted</t>
  </si>
  <si>
    <t>Interfering</t>
  </si>
  <si>
    <t>Receive relative gain (dB)</t>
  </si>
  <si>
    <t>Received signal (dBW)</t>
  </si>
  <si>
    <t>I/N (dB)</t>
  </si>
  <si>
    <t>Receive offaxis angle (deg)</t>
  </si>
  <si>
    <t>DT/T (%)</t>
  </si>
  <si>
    <t>C/I (dB)</t>
  </si>
  <si>
    <t>C/(N+I) (dB)</t>
  </si>
  <si>
    <t>Frequency (GHz)</t>
  </si>
  <si>
    <t>Dish size (m)</t>
  </si>
  <si>
    <t>Efficiency</t>
  </si>
  <si>
    <t>Working</t>
  </si>
  <si>
    <t>Wavelength (m)</t>
  </si>
  <si>
    <t>Gain (absolute)</t>
  </si>
  <si>
    <t>Output</t>
  </si>
  <si>
    <t>Beamwidth (deg)</t>
  </si>
  <si>
    <t>Peak gain (dBi)</t>
  </si>
  <si>
    <t>Gain to use (dB)</t>
  </si>
  <si>
    <t>Offaxis angle (deg)</t>
  </si>
  <si>
    <t>Offaxis break point (deg)</t>
  </si>
  <si>
    <t>Parabolic gain (dB)</t>
  </si>
  <si>
    <t>Sidelobe gain (dB)</t>
  </si>
  <si>
    <t>Relative gain to interferer (dB)</t>
  </si>
  <si>
    <t>S/N (dB)</t>
  </si>
  <si>
    <t>Bandwidth (MHz)</t>
  </si>
  <si>
    <t>Capacity (Mbps)</t>
  </si>
  <si>
    <t>Antenna temperature (K)</t>
  </si>
  <si>
    <t>Feed temperature (K)</t>
  </si>
  <si>
    <t>Feed loss (dB)</t>
  </si>
  <si>
    <t>Receiver temperature (K)</t>
  </si>
  <si>
    <t>Feed loss (abs)</t>
  </si>
  <si>
    <t>Total temperature T2 (K)</t>
  </si>
  <si>
    <t>Total temperature T1 (K)</t>
  </si>
  <si>
    <t>Feed gain (abs)</t>
  </si>
  <si>
    <t>Receiver figure (dB)</t>
  </si>
  <si>
    <t>Receiver figure (abs)</t>
  </si>
  <si>
    <t>To (K)</t>
  </si>
  <si>
    <t>Total noise (dBW)</t>
  </si>
  <si>
    <t>Target S/N (dB)</t>
  </si>
  <si>
    <t>Required S</t>
  </si>
  <si>
    <t>Total temperature Tp (K)</t>
  </si>
  <si>
    <t>GSO at 25E</t>
  </si>
  <si>
    <t>GSO at 30E</t>
  </si>
  <si>
    <t>Satellite</t>
  </si>
  <si>
    <t>Transmit relative gain (dB)</t>
  </si>
  <si>
    <t>Receive peak gain (dBi)</t>
  </si>
  <si>
    <t>Transmit peak gain (dBi)</t>
  </si>
  <si>
    <t>Signal</t>
  </si>
  <si>
    <t>Transmit offaxis angle (deg)</t>
  </si>
  <si>
    <t>System</t>
  </si>
  <si>
    <t>LEO-D</t>
  </si>
  <si>
    <t>LEO-F</t>
  </si>
  <si>
    <t>GSO</t>
  </si>
  <si>
    <t>Elevation angle (deg)</t>
  </si>
  <si>
    <t>Height (km)</t>
  </si>
  <si>
    <t>Alpha</t>
  </si>
  <si>
    <t>Orbit radius (km)</t>
  </si>
  <si>
    <t>ThetaG</t>
  </si>
  <si>
    <t>Distance</t>
  </si>
  <si>
    <t>Round trip delay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</si>
</sst>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E+00"/>
    <numFmt numFmtId="166" formatCode="#,##0.0"/>
    <numFmt numFmtId="167" formatCode="0.000"/>
    <numFmt numFmtId="168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/>
    <xf numFmtId="2" fontId="0" fillId="0" borderId="0" xfId="0" applyNumberFormat="1" applyAlignment="1">
      <alignment horizontal="center"/>
    </xf>
    <xf numFmtId="0" fontId="3" fillId="3" borderId="1" xfId="2" applyAlignment="1">
      <alignment horizontal="center"/>
    </xf>
    <xf numFmtId="2" fontId="2" fillId="2" borderId="0" xfId="1" applyNumberFormat="1" applyAlignment="1">
      <alignment horizontal="center"/>
    </xf>
    <xf numFmtId="164" fontId="3" fillId="3" borderId="1" xfId="2" applyNumberFormat="1" applyAlignment="1">
      <alignment horizontal="center"/>
    </xf>
    <xf numFmtId="164" fontId="2" fillId="2" borderId="0" xfId="1" applyNumberFormat="1" applyAlignment="1">
      <alignment horizontal="center"/>
    </xf>
    <xf numFmtId="0" fontId="2" fillId="2" borderId="0" xfId="1"/>
    <xf numFmtId="0" fontId="2" fillId="2" borderId="0" xfId="1" applyAlignment="1">
      <alignment horizontal="center"/>
    </xf>
    <xf numFmtId="167" fontId="2" fillId="2" borderId="0" xfId="1" applyNumberFormat="1" applyAlignment="1">
      <alignment horizontal="center"/>
    </xf>
    <xf numFmtId="166" fontId="2" fillId="2" borderId="0" xfId="1" applyNumberFormat="1" applyAlignment="1">
      <alignment horizontal="center"/>
    </xf>
    <xf numFmtId="167" fontId="3" fillId="3" borderId="1" xfId="2" applyNumberFormat="1" applyAlignment="1">
      <alignment horizontal="center"/>
    </xf>
    <xf numFmtId="168" fontId="3" fillId="3" borderId="1" xfId="2" applyNumberFormat="1" applyAlignment="1">
      <alignment horizontal="center"/>
    </xf>
    <xf numFmtId="4" fontId="2" fillId="2" borderId="0" xfId="1" applyNumberFormat="1" applyAlignment="1">
      <alignment horizontal="center"/>
    </xf>
    <xf numFmtId="3" fontId="3" fillId="3" borderId="1" xfId="2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workbookViewId="0">
      <selection activeCell="Q8" sqref="Q8"/>
    </sheetView>
  </sheetViews>
  <sheetFormatPr defaultRowHeight="15" x14ac:dyDescent="0.25"/>
  <cols>
    <col min="1" max="1" width="40" customWidth="1"/>
    <col min="2" max="2" width="9.140625" style="2"/>
  </cols>
  <sheetData>
    <row r="1" spans="1:2" x14ac:dyDescent="0.25">
      <c r="A1" s="1" t="s">
        <v>0</v>
      </c>
      <c r="B1" s="4" t="s">
        <v>1</v>
      </c>
    </row>
    <row r="2" spans="1:2" x14ac:dyDescent="0.25">
      <c r="A2" t="s">
        <v>2</v>
      </c>
      <c r="B2" s="5">
        <v>299792458</v>
      </c>
    </row>
    <row r="3" spans="1:2" x14ac:dyDescent="0.25">
      <c r="A3" t="s">
        <v>3</v>
      </c>
      <c r="B3" s="6">
        <v>1.3806488E-23</v>
      </c>
    </row>
    <row r="4" spans="1:2" x14ac:dyDescent="0.25">
      <c r="A4" t="s">
        <v>4</v>
      </c>
      <c r="B4" s="7">
        <f>10*LOG10(B3)</f>
        <v>-228.59916780233414</v>
      </c>
    </row>
    <row r="5" spans="1:2" x14ac:dyDescent="0.25">
      <c r="A5" t="s">
        <v>5</v>
      </c>
      <c r="B5" s="8">
        <v>6378.1369999999997</v>
      </c>
    </row>
    <row r="6" spans="1:2" x14ac:dyDescent="0.25">
      <c r="A6" t="s">
        <v>17</v>
      </c>
      <c r="B6" s="2">
        <v>398600.44179999997</v>
      </c>
    </row>
    <row r="7" spans="1:2" x14ac:dyDescent="0.25">
      <c r="A7" t="s">
        <v>18</v>
      </c>
      <c r="B7" s="2">
        <f>+DEGREES(0.00007292115)</f>
        <v>4.178074132240403E-3</v>
      </c>
    </row>
    <row r="8" spans="1:2" x14ac:dyDescent="0.25">
      <c r="A8" t="s">
        <v>19</v>
      </c>
      <c r="B8" s="9">
        <v>35786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"/>
  <sheetViews>
    <sheetView workbookViewId="0">
      <selection activeCell="L9" sqref="L9"/>
    </sheetView>
  </sheetViews>
  <sheetFormatPr defaultRowHeight="15" x14ac:dyDescent="0.25"/>
  <cols>
    <col min="1" max="1" width="19.5703125" customWidth="1"/>
    <col min="2" max="3" width="9.140625" style="2"/>
  </cols>
  <sheetData>
    <row r="1" spans="1:3" x14ac:dyDescent="0.25">
      <c r="A1" s="1" t="s">
        <v>6</v>
      </c>
      <c r="B1" s="2" t="s">
        <v>14</v>
      </c>
      <c r="C1" s="2" t="s">
        <v>15</v>
      </c>
    </row>
    <row r="2" spans="1:3" x14ac:dyDescent="0.25">
      <c r="A2" t="s">
        <v>8</v>
      </c>
      <c r="B2" s="12">
        <v>51.507219999999997</v>
      </c>
      <c r="C2" s="20">
        <v>48.856670000000001</v>
      </c>
    </row>
    <row r="3" spans="1:3" x14ac:dyDescent="0.25">
      <c r="A3" t="s">
        <v>7</v>
      </c>
      <c r="B3" s="21">
        <v>-0.1275</v>
      </c>
      <c r="C3" s="20">
        <v>2.3508300000000002</v>
      </c>
    </row>
    <row r="4" spans="1:3" x14ac:dyDescent="0.25">
      <c r="A4" t="s">
        <v>9</v>
      </c>
      <c r="B4" s="12">
        <v>10</v>
      </c>
      <c r="C4" s="20">
        <v>10</v>
      </c>
    </row>
    <row r="6" spans="1:3" x14ac:dyDescent="0.25">
      <c r="A6" s="1" t="s">
        <v>10</v>
      </c>
    </row>
    <row r="7" spans="1:3" x14ac:dyDescent="0.25">
      <c r="A7" t="s">
        <v>11</v>
      </c>
      <c r="B7" s="22">
        <f>+(Constants!$B$5+EarthPos!B4/1000)*COS(RADIANS(EarthPos!B2))*COS(RADIANS(EarthPos!B3))</f>
        <v>3969.8509972817897</v>
      </c>
      <c r="C7" s="22">
        <f>+(Constants!$B$5+EarthPos!C4/1000)*COS(RADIANS(EarthPos!C2))*COS(RADIANS(EarthPos!C3))</f>
        <v>4192.9377981707339</v>
      </c>
    </row>
    <row r="8" spans="1:3" x14ac:dyDescent="0.25">
      <c r="A8" t="s">
        <v>12</v>
      </c>
      <c r="B8" s="22">
        <f>+(Constants!$B$5+EarthPos!B4/1000)*COS(RADIANS(EarthPos!B2))*SIN(RADIANS(EarthPos!B3))</f>
        <v>-8.834103348287849</v>
      </c>
      <c r="C8" s="22">
        <f>+(Constants!$B$5+EarthPos!C4/1000)*COS(RADIANS(EarthPos!C2))*SIN(RADIANS(EarthPos!C3))</f>
        <v>172.1316810192715</v>
      </c>
    </row>
    <row r="9" spans="1:3" x14ac:dyDescent="0.25">
      <c r="A9" t="s">
        <v>13</v>
      </c>
      <c r="B9" s="22">
        <f>+(Constants!$B$5+EarthPos!B4/1000)*SIN(RADIANS(EarthPos!B2))</f>
        <v>4992.0901606048556</v>
      </c>
      <c r="C9" s="22">
        <f>+(Constants!$B$5+EarthPos!C4/1000)*SIN(RADIANS(EarthPos!C2))</f>
        <v>4803.1658787376518</v>
      </c>
    </row>
    <row r="11" spans="1:3" x14ac:dyDescent="0.25">
      <c r="A11" t="s">
        <v>16</v>
      </c>
      <c r="B11" s="2">
        <f>+SQRT(B7*B7+B8*B8+B9*B9)</f>
        <v>6378.1469999999999</v>
      </c>
      <c r="C11" s="2">
        <f>+SQRT(C7*C7+C8*C8+C9*C9)</f>
        <v>6378.1470000000008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"/>
  <sheetViews>
    <sheetView workbookViewId="0">
      <selection activeCell="J14" sqref="J14"/>
    </sheetView>
  </sheetViews>
  <sheetFormatPr defaultRowHeight="15" x14ac:dyDescent="0.25"/>
  <cols>
    <col min="1" max="1" width="19.5703125" customWidth="1"/>
    <col min="2" max="3" width="9.140625" style="2"/>
  </cols>
  <sheetData>
    <row r="1" spans="1:3" x14ac:dyDescent="0.25">
      <c r="A1" s="1" t="s">
        <v>6</v>
      </c>
      <c r="B1" s="2" t="s">
        <v>20</v>
      </c>
      <c r="C1" s="2" t="s">
        <v>21</v>
      </c>
    </row>
    <row r="2" spans="1:3" x14ac:dyDescent="0.25">
      <c r="A2" t="s">
        <v>7</v>
      </c>
      <c r="B2" s="20">
        <v>25</v>
      </c>
      <c r="C2" s="12">
        <v>30</v>
      </c>
    </row>
    <row r="4" spans="1:3" x14ac:dyDescent="0.25">
      <c r="A4" s="1" t="s">
        <v>89</v>
      </c>
      <c r="B4" s="2" t="s">
        <v>87</v>
      </c>
      <c r="C4" s="2" t="s">
        <v>88</v>
      </c>
    </row>
    <row r="5" spans="1:3" x14ac:dyDescent="0.25">
      <c r="A5" t="s">
        <v>11</v>
      </c>
      <c r="B5" s="7">
        <f>+(Constants!$B$5+Constants!$B$8)*COS(RADIANS(B2))</f>
        <v>38213.685696780136</v>
      </c>
      <c r="C5" s="7">
        <f>+(Constants!$B$5+Constants!$B$8)*COS(RADIANS(C2))</f>
        <v>36515.213770647395</v>
      </c>
    </row>
    <row r="6" spans="1:3" x14ac:dyDescent="0.25">
      <c r="A6" t="s">
        <v>12</v>
      </c>
      <c r="B6" s="7">
        <f>+(Constants!$B$5+Constants!$B$8)*SIN(RADIANS(B2))</f>
        <v>17819.33428673671</v>
      </c>
      <c r="C6" s="7">
        <f>+(Constants!$B$5+Constants!$B$8)*SIN(RADIANS(C2))</f>
        <v>21082.068499999998</v>
      </c>
    </row>
    <row r="7" spans="1:3" x14ac:dyDescent="0.25">
      <c r="A7" t="s">
        <v>13</v>
      </c>
      <c r="B7" s="7">
        <v>0</v>
      </c>
      <c r="C7" s="7">
        <v>0</v>
      </c>
    </row>
    <row r="9" spans="1:3" x14ac:dyDescent="0.25">
      <c r="A9" t="s">
        <v>16</v>
      </c>
      <c r="B9" s="17">
        <f>+SQRT(B5*B5+B6*B6+B7*B7)</f>
        <v>42164.137000000002</v>
      </c>
      <c r="C9" s="17">
        <f>+SQRT(C5*C5+C6*C6+C7*C7)</f>
        <v>42164.137000000002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4"/>
  <sheetViews>
    <sheetView workbookViewId="0">
      <selection activeCell="K17" sqref="K17"/>
    </sheetView>
  </sheetViews>
  <sheetFormatPr defaultRowHeight="15" x14ac:dyDescent="0.25"/>
  <cols>
    <col min="1" max="1" width="25" customWidth="1"/>
    <col min="2" max="3" width="11.140625" style="2" customWidth="1"/>
    <col min="4" max="4" width="3.42578125" customWidth="1"/>
    <col min="5" max="6" width="11.140625" style="2" customWidth="1"/>
  </cols>
  <sheetData>
    <row r="1" spans="1:6" x14ac:dyDescent="0.25">
      <c r="A1" s="1" t="s">
        <v>22</v>
      </c>
    </row>
    <row r="2" spans="1:6" x14ac:dyDescent="0.25">
      <c r="A2" s="1"/>
    </row>
    <row r="3" spans="1:6" x14ac:dyDescent="0.25">
      <c r="A3" s="1" t="s">
        <v>23</v>
      </c>
      <c r="B3" s="4" t="s">
        <v>20</v>
      </c>
      <c r="C3" s="4" t="s">
        <v>21</v>
      </c>
      <c r="E3" s="4" t="s">
        <v>14</v>
      </c>
      <c r="F3" s="4" t="s">
        <v>15</v>
      </c>
    </row>
    <row r="4" spans="1:6" x14ac:dyDescent="0.25">
      <c r="A4" t="s">
        <v>11</v>
      </c>
      <c r="B4" s="14">
        <v>38213.685696780136</v>
      </c>
      <c r="C4" s="14">
        <v>36515.213770647395</v>
      </c>
      <c r="E4" s="14">
        <v>3970.4878560767288</v>
      </c>
      <c r="F4" s="14">
        <v>4193.5055205620301</v>
      </c>
    </row>
    <row r="5" spans="1:6" x14ac:dyDescent="0.25">
      <c r="A5" t="s">
        <v>12</v>
      </c>
      <c r="B5" s="14">
        <v>17819.33428673671</v>
      </c>
      <c r="C5" s="14">
        <v>21082.068499999998</v>
      </c>
      <c r="E5" s="14">
        <v>-8.0847878735513135</v>
      </c>
      <c r="F5" s="14">
        <v>172.09413715040841</v>
      </c>
    </row>
    <row r="6" spans="1:6" x14ac:dyDescent="0.25">
      <c r="A6" t="s">
        <v>13</v>
      </c>
      <c r="B6" s="14">
        <v>0</v>
      </c>
      <c r="C6" s="14">
        <v>0</v>
      </c>
      <c r="E6" s="14">
        <v>4991.5976938853219</v>
      </c>
      <c r="F6" s="14">
        <v>4802.6848505417502</v>
      </c>
    </row>
    <row r="7" spans="1:6" x14ac:dyDescent="0.25">
      <c r="A7" s="1" t="s">
        <v>24</v>
      </c>
      <c r="B7" s="4" t="s">
        <v>14</v>
      </c>
      <c r="C7" s="4" t="s">
        <v>15</v>
      </c>
      <c r="E7" s="4" t="s">
        <v>20</v>
      </c>
      <c r="F7" s="4" t="s">
        <v>21</v>
      </c>
    </row>
    <row r="8" spans="1:6" x14ac:dyDescent="0.25">
      <c r="A8" t="s">
        <v>11</v>
      </c>
      <c r="B8" s="14">
        <v>3970.4878560767288</v>
      </c>
      <c r="C8" s="14">
        <v>4193.5055205620301</v>
      </c>
      <c r="E8" s="14">
        <v>38213.685696780136</v>
      </c>
      <c r="F8" s="14">
        <v>36515.213770647395</v>
      </c>
    </row>
    <row r="9" spans="1:6" x14ac:dyDescent="0.25">
      <c r="A9" t="s">
        <v>12</v>
      </c>
      <c r="B9" s="14">
        <v>-8.0847878735513135</v>
      </c>
      <c r="C9" s="14">
        <v>172.09413715040841</v>
      </c>
      <c r="E9" s="14">
        <v>17819.33428673671</v>
      </c>
      <c r="F9" s="14">
        <v>21082.068499999998</v>
      </c>
    </row>
    <row r="10" spans="1:6" x14ac:dyDescent="0.25">
      <c r="A10" t="s">
        <v>13</v>
      </c>
      <c r="B10" s="14">
        <v>4991.5976938853219</v>
      </c>
      <c r="C10" s="14">
        <v>4802.6848505417502</v>
      </c>
      <c r="E10" s="14">
        <v>0</v>
      </c>
      <c r="F10" s="14">
        <v>0</v>
      </c>
    </row>
    <row r="12" spans="1:6" x14ac:dyDescent="0.25">
      <c r="A12" s="1" t="s">
        <v>27</v>
      </c>
    </row>
    <row r="13" spans="1:6" x14ac:dyDescent="0.25">
      <c r="A13" t="s">
        <v>11</v>
      </c>
      <c r="B13" s="7">
        <f>+B4-B8</f>
        <v>34243.197840703404</v>
      </c>
      <c r="C13" s="7"/>
      <c r="E13" s="7"/>
      <c r="F13" s="7">
        <f>+F8-E4</f>
        <v>32544.725914570667</v>
      </c>
    </row>
    <row r="14" spans="1:6" x14ac:dyDescent="0.25">
      <c r="A14" t="s">
        <v>12</v>
      </c>
      <c r="B14" s="7">
        <f t="shared" ref="B14:B15" si="0">+B5-B9</f>
        <v>17827.419074610261</v>
      </c>
      <c r="C14" s="7"/>
      <c r="E14" s="7"/>
      <c r="F14" s="7">
        <f>+F9-E5</f>
        <v>21090.153287873549</v>
      </c>
    </row>
    <row r="15" spans="1:6" x14ac:dyDescent="0.25">
      <c r="A15" t="s">
        <v>13</v>
      </c>
      <c r="B15" s="7">
        <f t="shared" si="0"/>
        <v>-4991.5976938853219</v>
      </c>
      <c r="C15" s="7"/>
      <c r="E15" s="7"/>
      <c r="F15" s="7">
        <f>+F10-E6</f>
        <v>-4991.5976938853219</v>
      </c>
    </row>
    <row r="16" spans="1:6" x14ac:dyDescent="0.25">
      <c r="A16" s="1" t="s">
        <v>28</v>
      </c>
    </row>
    <row r="17" spans="1:6" x14ac:dyDescent="0.25">
      <c r="A17" t="s">
        <v>11</v>
      </c>
      <c r="B17" s="7">
        <f>+C4-B8</f>
        <v>32544.725914570667</v>
      </c>
      <c r="C17" s="7"/>
      <c r="E17" s="7"/>
      <c r="F17" s="7">
        <f>+F8-F4</f>
        <v>32321.708250085365</v>
      </c>
    </row>
    <row r="18" spans="1:6" x14ac:dyDescent="0.25">
      <c r="A18" t="s">
        <v>12</v>
      </c>
      <c r="B18" s="7">
        <f>+C5-B9</f>
        <v>21090.153287873549</v>
      </c>
      <c r="C18" s="7"/>
      <c r="E18" s="7"/>
      <c r="F18" s="7">
        <f>+F9-F5</f>
        <v>20909.974362849589</v>
      </c>
    </row>
    <row r="19" spans="1:6" x14ac:dyDescent="0.25">
      <c r="A19" t="s">
        <v>13</v>
      </c>
      <c r="B19" s="7">
        <f>+C6-B10</f>
        <v>-4991.5976938853219</v>
      </c>
      <c r="C19" s="7"/>
      <c r="E19" s="7"/>
      <c r="F19" s="7">
        <f>+F10-F6</f>
        <v>-4802.6848505417502</v>
      </c>
    </row>
    <row r="20" spans="1:6" x14ac:dyDescent="0.25">
      <c r="B20" s="7"/>
      <c r="C20" s="7"/>
      <c r="E20" s="7"/>
      <c r="F20" s="7"/>
    </row>
    <row r="21" spans="1:6" x14ac:dyDescent="0.25">
      <c r="A21" s="1" t="s">
        <v>30</v>
      </c>
    </row>
    <row r="22" spans="1:6" x14ac:dyDescent="0.25">
      <c r="A22" t="s">
        <v>25</v>
      </c>
      <c r="B22" s="15">
        <f>+SQRT(B13*B13+B14*B14+B15*B15)</f>
        <v>38927.233612946773</v>
      </c>
      <c r="C22" s="7"/>
      <c r="E22" s="7"/>
      <c r="F22" s="15">
        <f>+SQRT(F13*F13+F14*F14+F15*F15)</f>
        <v>39100.764674084472</v>
      </c>
    </row>
    <row r="23" spans="1:6" x14ac:dyDescent="0.25">
      <c r="A23" t="s">
        <v>26</v>
      </c>
      <c r="B23" s="15">
        <f>+SQRT(B17*B17+B18*B18+B19*B19)</f>
        <v>39100.764674084472</v>
      </c>
      <c r="C23" s="7"/>
      <c r="E23" s="7"/>
      <c r="F23" s="15">
        <f>+SQRT(F17*F17+F18*F18+F19*F19)</f>
        <v>38794.144324012181</v>
      </c>
    </row>
    <row r="24" spans="1:6" x14ac:dyDescent="0.25">
      <c r="A24" t="s">
        <v>29</v>
      </c>
      <c r="B24" s="15">
        <f>+DEGREES(ACOS((B13*B17+B14*B18+B15*B19)/(B22*B23)))</f>
        <v>5.3979991953353395</v>
      </c>
      <c r="C24" s="7"/>
      <c r="E24" s="7"/>
      <c r="F24" s="15">
        <f>+DEGREES(ACOS((F13*F17+F14*F18+F15*F19)/(F22*F23)))</f>
        <v>0.22730231480116722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8"/>
  <sheetViews>
    <sheetView workbookViewId="0">
      <selection activeCell="B14" sqref="B14"/>
    </sheetView>
  </sheetViews>
  <sheetFormatPr defaultRowHeight="15" x14ac:dyDescent="0.25"/>
  <cols>
    <col min="1" max="1" width="34.42578125" customWidth="1"/>
    <col min="2" max="3" width="9.140625" style="2"/>
  </cols>
  <sheetData>
    <row r="1" spans="1:3" x14ac:dyDescent="0.25">
      <c r="A1" s="1" t="s">
        <v>32</v>
      </c>
    </row>
    <row r="2" spans="1:3" x14ac:dyDescent="0.25">
      <c r="A2" t="s">
        <v>54</v>
      </c>
      <c r="B2" s="14">
        <v>3.6</v>
      </c>
      <c r="C2" s="14">
        <v>3.6</v>
      </c>
    </row>
    <row r="3" spans="1:3" x14ac:dyDescent="0.25">
      <c r="A3" t="s">
        <v>55</v>
      </c>
      <c r="B3" s="14">
        <v>2.4</v>
      </c>
      <c r="C3" s="14">
        <v>2.4</v>
      </c>
    </row>
    <row r="4" spans="1:3" x14ac:dyDescent="0.25">
      <c r="A4" t="s">
        <v>56</v>
      </c>
      <c r="B4" s="14">
        <v>0.6</v>
      </c>
      <c r="C4" s="14">
        <v>0.6</v>
      </c>
    </row>
    <row r="5" spans="1:3" x14ac:dyDescent="0.25">
      <c r="A5" t="s">
        <v>64</v>
      </c>
      <c r="B5" s="14">
        <f>+DistAngles!B24</f>
        <v>5.3979991953353395</v>
      </c>
      <c r="C5" s="14">
        <f>+DistAngles!F24</f>
        <v>0.22730231480116722</v>
      </c>
    </row>
    <row r="6" spans="1:3" x14ac:dyDescent="0.25">
      <c r="B6" s="7"/>
      <c r="C6" s="7"/>
    </row>
    <row r="7" spans="1:3" x14ac:dyDescent="0.25">
      <c r="A7" s="1" t="s">
        <v>57</v>
      </c>
      <c r="B7" s="7"/>
      <c r="C7" s="7"/>
    </row>
    <row r="8" spans="1:3" x14ac:dyDescent="0.25">
      <c r="A8" t="s">
        <v>58</v>
      </c>
      <c r="B8" s="7">
        <f>+Constants!$B$2/(B2*1000000000)</f>
        <v>8.3275682777777776E-2</v>
      </c>
      <c r="C8" s="7">
        <f>+Constants!$B$2/(C2*1000000000)</f>
        <v>8.3275682777777776E-2</v>
      </c>
    </row>
    <row r="9" spans="1:3" x14ac:dyDescent="0.25">
      <c r="A9" t="s">
        <v>59</v>
      </c>
      <c r="B9" s="7">
        <f>+B4*(PI()*B3/B8)^2</f>
        <v>4918.5498217772574</v>
      </c>
      <c r="C9" s="7">
        <f>+C4*(PI()*C3/C8)^2</f>
        <v>4918.5498217772574</v>
      </c>
    </row>
    <row r="10" spans="1:3" x14ac:dyDescent="0.25">
      <c r="A10" t="s">
        <v>61</v>
      </c>
      <c r="B10" s="7">
        <f>70*PI()*SQRT(B4/B9)</f>
        <v>2.4288740810185181</v>
      </c>
      <c r="C10" s="7">
        <f>70*PI()*SQRT(C4/C9)</f>
        <v>2.4288740810185181</v>
      </c>
    </row>
    <row r="11" spans="1:3" x14ac:dyDescent="0.25">
      <c r="A11" t="s">
        <v>65</v>
      </c>
      <c r="B11" s="7">
        <f>90*B8/B3</f>
        <v>3.1228381041666671</v>
      </c>
      <c r="C11" s="7">
        <f>90*C8/C3</f>
        <v>3.1228381041666671</v>
      </c>
    </row>
    <row r="12" spans="1:3" x14ac:dyDescent="0.25">
      <c r="A12" t="s">
        <v>66</v>
      </c>
      <c r="B12" s="7">
        <f>-12*(B5/$B$10)^2</f>
        <v>-59.270265967681333</v>
      </c>
      <c r="C12" s="7">
        <f>-12*(C5/$B$10)^2</f>
        <v>-0.1050942516788731</v>
      </c>
    </row>
    <row r="13" spans="1:3" x14ac:dyDescent="0.25">
      <c r="A13" t="s">
        <v>67</v>
      </c>
      <c r="B13" s="7">
        <f>29-25*LOG10(B5)-B17</f>
        <v>-26.224191135774362</v>
      </c>
      <c r="C13" s="7">
        <f>29-25*LOG10(C5)-C17</f>
        <v>8.1665327883776584</v>
      </c>
    </row>
    <row r="14" spans="1:3" x14ac:dyDescent="0.25">
      <c r="A14" t="s">
        <v>63</v>
      </c>
      <c r="B14" s="7">
        <f>+IF(B5&lt;B11,B12,B13)</f>
        <v>-26.224191135774362</v>
      </c>
      <c r="C14" s="7">
        <f>+IF(C5&lt;C11,C12,C13)</f>
        <v>-0.1050942516788731</v>
      </c>
    </row>
    <row r="15" spans="1:3" x14ac:dyDescent="0.25">
      <c r="B15" s="7"/>
      <c r="C15" s="7"/>
    </row>
    <row r="16" spans="1:3" x14ac:dyDescent="0.25">
      <c r="A16" s="1" t="s">
        <v>60</v>
      </c>
      <c r="B16" s="7"/>
      <c r="C16" s="7"/>
    </row>
    <row r="17" spans="1:3" x14ac:dyDescent="0.25">
      <c r="A17" t="s">
        <v>62</v>
      </c>
      <c r="B17" s="15">
        <f>10*LOG10(B9)</f>
        <v>36.918370748738425</v>
      </c>
      <c r="C17" s="15">
        <f>10*LOG10(C9)</f>
        <v>36.918370748738425</v>
      </c>
    </row>
    <row r="18" spans="1:3" x14ac:dyDescent="0.25">
      <c r="A18" t="s">
        <v>68</v>
      </c>
      <c r="B18" s="15">
        <f>+B14</f>
        <v>-26.224191135774362</v>
      </c>
      <c r="C18" s="15">
        <f>+C14</f>
        <v>-0.1050942516788731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6"/>
  <sheetViews>
    <sheetView workbookViewId="0">
      <selection activeCell="G15" sqref="G15"/>
    </sheetView>
  </sheetViews>
  <sheetFormatPr defaultRowHeight="15" x14ac:dyDescent="0.25"/>
  <cols>
    <col min="1" max="1" width="28.140625" customWidth="1"/>
    <col min="2" max="3" width="13.42578125" style="2" customWidth="1"/>
    <col min="9" max="9" width="27.85546875" customWidth="1"/>
    <col min="10" max="11" width="16.28515625" style="2" customWidth="1"/>
  </cols>
  <sheetData>
    <row r="1" spans="1:11" x14ac:dyDescent="0.25">
      <c r="A1" s="1" t="s">
        <v>31</v>
      </c>
      <c r="B1" s="4" t="s">
        <v>45</v>
      </c>
      <c r="C1" s="4" t="s">
        <v>46</v>
      </c>
    </row>
    <row r="2" spans="1:11" x14ac:dyDescent="0.25">
      <c r="A2" s="1" t="s">
        <v>32</v>
      </c>
      <c r="I2" s="16" t="s">
        <v>93</v>
      </c>
      <c r="J2" s="17" t="str">
        <f>+B1</f>
        <v>Wanted</v>
      </c>
      <c r="K2" s="17" t="str">
        <f>+C1</f>
        <v>Interfering</v>
      </c>
    </row>
    <row r="3" spans="1:11" x14ac:dyDescent="0.25">
      <c r="A3" s="10" t="s">
        <v>33</v>
      </c>
      <c r="B3" s="12">
        <v>3600</v>
      </c>
      <c r="C3" s="12">
        <v>3600</v>
      </c>
      <c r="I3" s="16" t="str">
        <f t="shared" ref="I3:I5" si="0">+A3</f>
        <v>Frequency (MHz)</v>
      </c>
      <c r="J3" s="17">
        <f t="shared" ref="J3:J5" si="1">+B3</f>
        <v>3600</v>
      </c>
      <c r="K3" s="17">
        <f t="shared" ref="K3:K5" si="2">+C3</f>
        <v>3600</v>
      </c>
    </row>
    <row r="4" spans="1:11" x14ac:dyDescent="0.25">
      <c r="A4" t="s">
        <v>34</v>
      </c>
      <c r="B4" s="12">
        <v>10</v>
      </c>
      <c r="C4" s="12">
        <v>10</v>
      </c>
      <c r="I4" s="16" t="str">
        <f t="shared" si="0"/>
        <v>Transmit power (dBW)</v>
      </c>
      <c r="J4" s="17">
        <f t="shared" si="1"/>
        <v>10</v>
      </c>
      <c r="K4" s="17">
        <f t="shared" si="2"/>
        <v>10</v>
      </c>
    </row>
    <row r="5" spans="1:11" x14ac:dyDescent="0.25">
      <c r="A5" t="s">
        <v>92</v>
      </c>
      <c r="B5" s="14">
        <f>+Pattern!B17</f>
        <v>36.918370748738425</v>
      </c>
      <c r="C5" s="14">
        <f>+Pattern!C17</f>
        <v>36.918370748738425</v>
      </c>
      <c r="I5" s="16" t="str">
        <f t="shared" si="0"/>
        <v>Transmit peak gain (dBi)</v>
      </c>
      <c r="J5" s="15">
        <f t="shared" si="1"/>
        <v>36.918370748738425</v>
      </c>
      <c r="K5" s="15">
        <f t="shared" si="2"/>
        <v>36.918370748738425</v>
      </c>
    </row>
    <row r="6" spans="1:11" x14ac:dyDescent="0.25">
      <c r="A6" t="s">
        <v>90</v>
      </c>
      <c r="B6" s="14">
        <v>0</v>
      </c>
      <c r="C6" s="14">
        <f>+Pattern!C18</f>
        <v>-0.1050942516788731</v>
      </c>
      <c r="I6" s="16" t="s">
        <v>94</v>
      </c>
      <c r="J6" s="18">
        <v>0</v>
      </c>
      <c r="K6" s="18">
        <f>+Pattern!C5</f>
        <v>0.22730231480116722</v>
      </c>
    </row>
    <row r="7" spans="1:11" x14ac:dyDescent="0.25">
      <c r="A7" t="s">
        <v>35</v>
      </c>
      <c r="B7" s="14">
        <f>+DistAngles!B22</f>
        <v>38927.233612946773</v>
      </c>
      <c r="C7" s="14">
        <f>+DistAngles!B23</f>
        <v>39100.764674084472</v>
      </c>
      <c r="I7" s="16" t="str">
        <f t="shared" ref="I7:K8" si="3">+A6</f>
        <v>Transmit relative gain (dB)</v>
      </c>
      <c r="J7" s="15">
        <f t="shared" si="3"/>
        <v>0</v>
      </c>
      <c r="K7" s="15">
        <f t="shared" si="3"/>
        <v>-0.1050942516788731</v>
      </c>
    </row>
    <row r="8" spans="1:11" x14ac:dyDescent="0.25">
      <c r="A8" t="s">
        <v>36</v>
      </c>
      <c r="B8" s="12">
        <v>0</v>
      </c>
      <c r="C8" s="12">
        <v>0</v>
      </c>
      <c r="I8" s="16" t="str">
        <f t="shared" si="3"/>
        <v>Distance (km)</v>
      </c>
      <c r="J8" s="19">
        <f t="shared" si="3"/>
        <v>38927.233612946773</v>
      </c>
      <c r="K8" s="19">
        <f t="shared" si="3"/>
        <v>39100.764674084472</v>
      </c>
    </row>
    <row r="9" spans="1:11" x14ac:dyDescent="0.25">
      <c r="A9" t="s">
        <v>50</v>
      </c>
      <c r="B9" s="12">
        <v>0</v>
      </c>
      <c r="C9" s="14">
        <f>+DistAngles!B24</f>
        <v>5.3979991953353395</v>
      </c>
      <c r="I9" s="16" t="str">
        <f>+A17</f>
        <v>Free space path loss (dB)</v>
      </c>
      <c r="J9" s="15">
        <f>+B17</f>
        <v>195.38112084371818</v>
      </c>
      <c r="K9" s="15">
        <f>+C17</f>
        <v>195.41975503052038</v>
      </c>
    </row>
    <row r="10" spans="1:11" x14ac:dyDescent="0.25">
      <c r="A10" t="s">
        <v>91</v>
      </c>
      <c r="B10" s="14">
        <f>+Pattern!B17</f>
        <v>36.918370748738425</v>
      </c>
      <c r="C10" s="14">
        <f>+B10</f>
        <v>36.918370748738425</v>
      </c>
      <c r="I10" s="16" t="str">
        <f>+A10</f>
        <v>Receive peak gain (dBi)</v>
      </c>
      <c r="J10" s="15">
        <f>+B10</f>
        <v>36.918370748738425</v>
      </c>
      <c r="K10" s="15">
        <f>+C10</f>
        <v>36.918370748738425</v>
      </c>
    </row>
    <row r="11" spans="1:11" x14ac:dyDescent="0.25">
      <c r="A11" t="s">
        <v>47</v>
      </c>
      <c r="B11" s="12">
        <v>0</v>
      </c>
      <c r="C11" s="14">
        <f>+Pattern!B18</f>
        <v>-26.224191135774362</v>
      </c>
      <c r="I11" s="16" t="str">
        <f>+A9</f>
        <v>Receive offaxis angle (deg)</v>
      </c>
      <c r="J11" s="15">
        <f>+B9</f>
        <v>0</v>
      </c>
      <c r="K11" s="15">
        <f>+C9</f>
        <v>5.3979991953353395</v>
      </c>
    </row>
    <row r="12" spans="1:11" x14ac:dyDescent="0.25">
      <c r="A12" t="s">
        <v>37</v>
      </c>
      <c r="B12" s="12">
        <v>1</v>
      </c>
      <c r="C12" s="12">
        <v>1</v>
      </c>
      <c r="I12" s="16" t="str">
        <f t="shared" ref="I12:K13" si="4">+A11</f>
        <v>Receive relative gain (dB)</v>
      </c>
      <c r="J12" s="15">
        <f t="shared" si="4"/>
        <v>0</v>
      </c>
      <c r="K12" s="15">
        <f t="shared" si="4"/>
        <v>-26.224191135774362</v>
      </c>
    </row>
    <row r="13" spans="1:11" x14ac:dyDescent="0.25">
      <c r="A13" t="s">
        <v>38</v>
      </c>
      <c r="B13" s="12">
        <v>300</v>
      </c>
      <c r="I13" s="16" t="str">
        <f t="shared" si="4"/>
        <v>Receive losses (dB)</v>
      </c>
      <c r="J13" s="15">
        <f t="shared" si="4"/>
        <v>1</v>
      </c>
      <c r="K13" s="15">
        <f t="shared" si="4"/>
        <v>1</v>
      </c>
    </row>
    <row r="14" spans="1:11" x14ac:dyDescent="0.25">
      <c r="A14" t="s">
        <v>39</v>
      </c>
      <c r="B14" s="12">
        <v>30</v>
      </c>
      <c r="I14" s="16" t="str">
        <f>+A18</f>
        <v>Received signal (dBW)</v>
      </c>
      <c r="J14" s="15">
        <f>+B18</f>
        <v>-112.54437934624133</v>
      </c>
      <c r="K14" s="15">
        <f>+C18</f>
        <v>-138.91229892049677</v>
      </c>
    </row>
    <row r="16" spans="1:11" x14ac:dyDescent="0.25">
      <c r="A16" s="1" t="s">
        <v>40</v>
      </c>
    </row>
    <row r="17" spans="1:10" x14ac:dyDescent="0.25">
      <c r="A17" s="10" t="s">
        <v>41</v>
      </c>
      <c r="B17" s="7">
        <f>32.45+20*LOG10(B3)+20*LOG10(B7)</f>
        <v>195.38112084371818</v>
      </c>
      <c r="C17" s="7">
        <f>32.45+20*LOG10(C3)+20*LOG10(C7)</f>
        <v>195.41975503052038</v>
      </c>
    </row>
    <row r="18" spans="1:10" x14ac:dyDescent="0.25">
      <c r="A18" t="s">
        <v>48</v>
      </c>
      <c r="B18" s="7">
        <f>+B4+B5-B17-B8+B10-B12+B6+B11</f>
        <v>-112.54437934624133</v>
      </c>
      <c r="C18" s="7">
        <f>+C4+C5-C17-C8+C10-C12+C6+C11</f>
        <v>-138.91229892049677</v>
      </c>
    </row>
    <row r="19" spans="1:10" x14ac:dyDescent="0.25">
      <c r="A19" t="s">
        <v>42</v>
      </c>
      <c r="B19" s="7">
        <f>10*LOG10(B13)+10*LOG10(B14)+60+Constants!$B$4</f>
        <v>-129.05674270794088</v>
      </c>
      <c r="C19" s="7"/>
      <c r="J19" s="7"/>
    </row>
    <row r="20" spans="1:10" x14ac:dyDescent="0.25">
      <c r="B20" s="7"/>
      <c r="C20" s="7"/>
    </row>
    <row r="21" spans="1:10" x14ac:dyDescent="0.25">
      <c r="A21" s="1" t="s">
        <v>43</v>
      </c>
      <c r="B21" s="7"/>
      <c r="C21" s="7"/>
    </row>
    <row r="22" spans="1:10" x14ac:dyDescent="0.25">
      <c r="A22" t="s">
        <v>44</v>
      </c>
      <c r="B22" s="15">
        <f>+B18-B19</f>
        <v>16.512363361699556</v>
      </c>
      <c r="C22" s="7"/>
    </row>
    <row r="23" spans="1:10" x14ac:dyDescent="0.25">
      <c r="A23" t="s">
        <v>49</v>
      </c>
      <c r="B23" s="15">
        <f>+C18-B19</f>
        <v>-9.8555562125558822</v>
      </c>
    </row>
    <row r="24" spans="1:10" x14ac:dyDescent="0.25">
      <c r="A24" t="s">
        <v>51</v>
      </c>
      <c r="B24" s="15">
        <f>100*10^(B23/10)</f>
        <v>10.338186885794993</v>
      </c>
    </row>
    <row r="25" spans="1:10" x14ac:dyDescent="0.25">
      <c r="A25" t="s">
        <v>52</v>
      </c>
      <c r="B25" s="15">
        <f>+B18-C18</f>
        <v>26.367919574255438</v>
      </c>
    </row>
    <row r="26" spans="1:10" x14ac:dyDescent="0.25">
      <c r="A26" t="s">
        <v>53</v>
      </c>
      <c r="B26" s="15">
        <f>+B18-10*LOG10(10^(B19/10)+10^(C18/10))</f>
        <v>16.085104929626283</v>
      </c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6"/>
  <sheetViews>
    <sheetView workbookViewId="0">
      <selection activeCell="F23" sqref="F23"/>
    </sheetView>
  </sheetViews>
  <sheetFormatPr defaultRowHeight="15" x14ac:dyDescent="0.25"/>
  <cols>
    <col min="1" max="1" width="18.28515625" customWidth="1"/>
    <col min="2" max="3" width="9.140625" style="2"/>
  </cols>
  <sheetData>
    <row r="1" spans="1:3" x14ac:dyDescent="0.25">
      <c r="A1" s="1" t="s">
        <v>32</v>
      </c>
    </row>
    <row r="2" spans="1:3" x14ac:dyDescent="0.25">
      <c r="A2" t="s">
        <v>69</v>
      </c>
      <c r="B2" s="12">
        <v>20</v>
      </c>
      <c r="C2" s="12">
        <v>15</v>
      </c>
    </row>
    <row r="3" spans="1:3" x14ac:dyDescent="0.25">
      <c r="A3" t="s">
        <v>70</v>
      </c>
      <c r="B3" s="12">
        <v>0.2</v>
      </c>
      <c r="C3" s="12">
        <v>5</v>
      </c>
    </row>
    <row r="5" spans="1:3" x14ac:dyDescent="0.25">
      <c r="A5" s="1" t="s">
        <v>30</v>
      </c>
    </row>
    <row r="6" spans="1:3" x14ac:dyDescent="0.25">
      <c r="A6" t="s">
        <v>71</v>
      </c>
      <c r="B6" s="13">
        <f>+B3*LOG(1+10^(B2/10))/LOG(2)</f>
        <v>1.3316422965503589</v>
      </c>
      <c r="C6" s="13">
        <f>+C3*LOG(1+10^(C2/10))/LOG(2)</f>
        <v>25.139038366752601</v>
      </c>
    </row>
  </sheetData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9"/>
  <sheetViews>
    <sheetView workbookViewId="0">
      <selection activeCell="B21" sqref="B21"/>
    </sheetView>
  </sheetViews>
  <sheetFormatPr defaultRowHeight="15" x14ac:dyDescent="0.25"/>
  <cols>
    <col min="1" max="1" width="25" customWidth="1"/>
    <col min="2" max="2" width="9.140625" style="2"/>
    <col min="3" max="3" width="3.28515625" customWidth="1"/>
    <col min="4" max="4" width="25" customWidth="1"/>
    <col min="5" max="5" width="9.140625" style="2"/>
    <col min="6" max="6" width="3.28515625" customWidth="1"/>
    <col min="7" max="7" width="25" customWidth="1"/>
    <col min="8" max="8" width="9.140625" style="2"/>
    <col min="9" max="9" width="25" customWidth="1"/>
    <col min="10" max="10" width="9.140625" style="2"/>
    <col min="11" max="11" width="3.28515625" customWidth="1"/>
  </cols>
  <sheetData>
    <row r="1" spans="1:10" x14ac:dyDescent="0.25">
      <c r="A1" s="1" t="s">
        <v>32</v>
      </c>
      <c r="D1" s="1" t="s">
        <v>32</v>
      </c>
      <c r="G1" s="1" t="s">
        <v>32</v>
      </c>
      <c r="I1" s="1" t="s">
        <v>32</v>
      </c>
    </row>
    <row r="2" spans="1:10" x14ac:dyDescent="0.25">
      <c r="A2" t="s">
        <v>72</v>
      </c>
      <c r="B2" s="12">
        <v>50</v>
      </c>
      <c r="D2" t="s">
        <v>72</v>
      </c>
      <c r="E2" s="12">
        <v>50</v>
      </c>
      <c r="G2" t="s">
        <v>72</v>
      </c>
      <c r="H2" s="12">
        <v>290</v>
      </c>
      <c r="I2" t="s">
        <v>72</v>
      </c>
      <c r="J2" s="12">
        <v>290</v>
      </c>
    </row>
    <row r="3" spans="1:10" x14ac:dyDescent="0.25">
      <c r="A3" t="s">
        <v>73</v>
      </c>
      <c r="B3" s="12">
        <v>290</v>
      </c>
      <c r="D3" t="s">
        <v>73</v>
      </c>
      <c r="E3" s="12">
        <v>290</v>
      </c>
      <c r="G3" t="s">
        <v>73</v>
      </c>
      <c r="H3" s="12">
        <v>300</v>
      </c>
      <c r="I3" t="s">
        <v>73</v>
      </c>
      <c r="J3" s="12">
        <v>300</v>
      </c>
    </row>
    <row r="4" spans="1:10" x14ac:dyDescent="0.25">
      <c r="A4" t="s">
        <v>74</v>
      </c>
      <c r="B4" s="12">
        <v>1</v>
      </c>
      <c r="D4" t="s">
        <v>74</v>
      </c>
      <c r="E4" s="12">
        <v>1</v>
      </c>
      <c r="G4" t="s">
        <v>74</v>
      </c>
      <c r="H4" s="12">
        <v>3</v>
      </c>
      <c r="I4" t="s">
        <v>74</v>
      </c>
      <c r="J4" s="12">
        <v>3</v>
      </c>
    </row>
    <row r="5" spans="1:10" x14ac:dyDescent="0.25">
      <c r="A5" t="s">
        <v>75</v>
      </c>
      <c r="B5" s="12">
        <v>290</v>
      </c>
      <c r="D5" t="s">
        <v>75</v>
      </c>
      <c r="E5" s="12">
        <v>290</v>
      </c>
      <c r="G5" t="s">
        <v>80</v>
      </c>
      <c r="H5" s="12">
        <v>6</v>
      </c>
      <c r="I5" t="s">
        <v>75</v>
      </c>
      <c r="J5" s="12">
        <f>+H14</f>
        <v>894.32151166049175</v>
      </c>
    </row>
    <row r="6" spans="1:10" x14ac:dyDescent="0.25">
      <c r="A6" t="s">
        <v>82</v>
      </c>
      <c r="B6" s="12">
        <v>290</v>
      </c>
      <c r="D6" t="s">
        <v>82</v>
      </c>
      <c r="E6" s="12">
        <v>290</v>
      </c>
      <c r="G6" t="s">
        <v>82</v>
      </c>
      <c r="H6" s="12">
        <v>300</v>
      </c>
      <c r="I6" t="s">
        <v>82</v>
      </c>
      <c r="J6" s="12">
        <v>300</v>
      </c>
    </row>
    <row r="7" spans="1:10" x14ac:dyDescent="0.25">
      <c r="A7" t="s">
        <v>70</v>
      </c>
      <c r="B7" s="12">
        <v>30</v>
      </c>
      <c r="D7" t="s">
        <v>70</v>
      </c>
      <c r="E7" s="12">
        <v>30</v>
      </c>
      <c r="G7" t="s">
        <v>70</v>
      </c>
      <c r="H7" s="12">
        <v>0.03</v>
      </c>
      <c r="I7" t="s">
        <v>70</v>
      </c>
      <c r="J7" s="12">
        <v>5</v>
      </c>
    </row>
    <row r="8" spans="1:10" x14ac:dyDescent="0.25">
      <c r="A8" t="s">
        <v>84</v>
      </c>
      <c r="B8" s="12">
        <v>10.5</v>
      </c>
      <c r="D8" t="s">
        <v>84</v>
      </c>
      <c r="E8" s="12">
        <v>10.5</v>
      </c>
      <c r="G8" t="s">
        <v>84</v>
      </c>
      <c r="H8" s="12">
        <v>30</v>
      </c>
      <c r="I8" t="s">
        <v>84</v>
      </c>
      <c r="J8" s="12">
        <v>20.5</v>
      </c>
    </row>
    <row r="10" spans="1:10" x14ac:dyDescent="0.25">
      <c r="A10" s="1" t="s">
        <v>57</v>
      </c>
      <c r="D10" s="1" t="s">
        <v>57</v>
      </c>
      <c r="G10" s="1" t="s">
        <v>57</v>
      </c>
      <c r="I10" s="1" t="s">
        <v>57</v>
      </c>
    </row>
    <row r="11" spans="1:10" x14ac:dyDescent="0.25">
      <c r="A11" t="s">
        <v>76</v>
      </c>
      <c r="B11" s="3">
        <f>10^(B4/10)</f>
        <v>1.2589254117941673</v>
      </c>
      <c r="D11" t="s">
        <v>76</v>
      </c>
      <c r="E11" s="3">
        <f>10^(E4/10)</f>
        <v>1.2589254117941673</v>
      </c>
      <c r="G11" t="s">
        <v>76</v>
      </c>
      <c r="H11" s="3">
        <f>10^(H4/10)</f>
        <v>1.9952623149688797</v>
      </c>
      <c r="I11" t="s">
        <v>76</v>
      </c>
      <c r="J11" s="3">
        <f>10^(J4/10)</f>
        <v>1.9952623149688797</v>
      </c>
    </row>
    <row r="12" spans="1:10" x14ac:dyDescent="0.25">
      <c r="A12" t="s">
        <v>79</v>
      </c>
      <c r="B12" s="3">
        <f>1/B11</f>
        <v>0.79432823472428149</v>
      </c>
      <c r="D12" t="s">
        <v>79</v>
      </c>
      <c r="E12" s="3">
        <f>1/E11</f>
        <v>0.79432823472428149</v>
      </c>
      <c r="G12" t="s">
        <v>79</v>
      </c>
      <c r="H12" s="3">
        <f>1/H11</f>
        <v>0.50118723362727224</v>
      </c>
      <c r="I12" t="s">
        <v>79</v>
      </c>
      <c r="J12" s="3">
        <f>1/J11</f>
        <v>0.50118723362727224</v>
      </c>
    </row>
    <row r="13" spans="1:10" x14ac:dyDescent="0.25">
      <c r="B13" s="3"/>
      <c r="E13" s="3"/>
      <c r="G13" t="s">
        <v>81</v>
      </c>
      <c r="H13" s="3">
        <f>10^(H5/10)</f>
        <v>3.9810717055349727</v>
      </c>
      <c r="J13" s="3"/>
    </row>
    <row r="14" spans="1:10" x14ac:dyDescent="0.25">
      <c r="B14" s="3"/>
      <c r="E14" s="3"/>
      <c r="G14" t="s">
        <v>75</v>
      </c>
      <c r="H14" s="2">
        <f>+(H13-1)*H6</f>
        <v>894.32151166049175</v>
      </c>
      <c r="J14" s="3"/>
    </row>
    <row r="15" spans="1:10" x14ac:dyDescent="0.25">
      <c r="B15" s="11"/>
      <c r="E15" s="11"/>
      <c r="H15" s="11"/>
      <c r="J15" s="11"/>
    </row>
    <row r="16" spans="1:10" x14ac:dyDescent="0.25">
      <c r="A16" s="1" t="s">
        <v>30</v>
      </c>
      <c r="B16" s="11"/>
      <c r="D16" s="1" t="s">
        <v>30</v>
      </c>
      <c r="E16" s="11"/>
      <c r="G16" s="1" t="s">
        <v>30</v>
      </c>
      <c r="H16" s="11"/>
      <c r="I16" s="1" t="s">
        <v>30</v>
      </c>
      <c r="J16" s="11"/>
    </row>
    <row r="17" spans="1:10" x14ac:dyDescent="0.25">
      <c r="A17" t="s">
        <v>77</v>
      </c>
      <c r="B17" s="15">
        <f>+B2/B11+B3*(1-1/B11)+B5</f>
        <v>389.36122366617246</v>
      </c>
      <c r="D17" t="s">
        <v>86</v>
      </c>
      <c r="E17" s="15">
        <f>+E2+(E11-1)*E3+E5/E12</f>
        <v>490.17673884061696</v>
      </c>
      <c r="G17" t="s">
        <v>78</v>
      </c>
      <c r="H17" s="15">
        <f>+H2+(H11-1)*H3+H14/H12</f>
        <v>2372.9847041728449</v>
      </c>
      <c r="I17" t="s">
        <v>78</v>
      </c>
      <c r="J17" s="15">
        <f>+J2+(J11-1)*J3+J5/J12</f>
        <v>2372.9847041728449</v>
      </c>
    </row>
    <row r="18" spans="1:10" x14ac:dyDescent="0.25">
      <c r="A18" t="s">
        <v>83</v>
      </c>
      <c r="B18" s="15">
        <f>10*LOG10(B17)+Constants!$B$4+10*LOG10(B7)+60</f>
        <v>-127.92442827395848</v>
      </c>
      <c r="D18" t="s">
        <v>83</v>
      </c>
      <c r="E18" s="15">
        <f>10*LOG10(E17)+Constants!$B$4+10*LOG10(E7)+60</f>
        <v>-126.92442827395848</v>
      </c>
      <c r="G18" t="s">
        <v>83</v>
      </c>
      <c r="H18" s="15">
        <f>10*LOG10(H17)+Constants!$B$4+10*LOG10(H7)+60</f>
        <v>-150.07500586670511</v>
      </c>
      <c r="I18" t="s">
        <v>83</v>
      </c>
      <c r="J18" s="15">
        <f>10*LOG10(J17)+Constants!$B$4+10*LOG10(J7)+60</f>
        <v>-127.85651837054155</v>
      </c>
    </row>
    <row r="19" spans="1:10" x14ac:dyDescent="0.25">
      <c r="A19" t="s">
        <v>85</v>
      </c>
      <c r="B19" s="15">
        <f>+B18+B8</f>
        <v>-117.42442827395848</v>
      </c>
      <c r="D19" t="s">
        <v>85</v>
      </c>
      <c r="E19" s="15">
        <f>+E18+E8</f>
        <v>-116.42442827395848</v>
      </c>
      <c r="G19" t="s">
        <v>85</v>
      </c>
      <c r="H19" s="15">
        <f>+H18+H8</f>
        <v>-120.07500586670511</v>
      </c>
      <c r="I19" t="s">
        <v>85</v>
      </c>
      <c r="J19" s="15">
        <f>+J18+J8</f>
        <v>-107.35651837054155</v>
      </c>
    </row>
  </sheetData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J7" sqref="J7"/>
    </sheetView>
  </sheetViews>
  <sheetFormatPr defaultRowHeight="15" x14ac:dyDescent="0.25"/>
  <cols>
    <col min="1" max="1" width="25.85546875" customWidth="1"/>
    <col min="2" max="4" width="9.140625" style="2"/>
  </cols>
  <sheetData>
    <row r="1" spans="1:15" x14ac:dyDescent="0.25">
      <c r="A1" t="s">
        <v>95</v>
      </c>
      <c r="B1" s="2" t="s">
        <v>96</v>
      </c>
      <c r="C1" s="2" t="s">
        <v>97</v>
      </c>
      <c r="D1" s="2" t="s">
        <v>98</v>
      </c>
    </row>
    <row r="2" spans="1:15" x14ac:dyDescent="0.25">
      <c r="A2" t="s">
        <v>100</v>
      </c>
      <c r="B2" s="12">
        <v>1414</v>
      </c>
      <c r="C2" s="12">
        <v>10355</v>
      </c>
      <c r="D2" s="23">
        <f>+Constants!B8</f>
        <v>35786</v>
      </c>
    </row>
    <row r="3" spans="1:15" x14ac:dyDescent="0.25">
      <c r="A3" t="s">
        <v>99</v>
      </c>
      <c r="B3" s="12">
        <v>20</v>
      </c>
      <c r="C3" s="12">
        <v>20</v>
      </c>
      <c r="D3" s="12">
        <v>20</v>
      </c>
    </row>
    <row r="4" spans="1:15" x14ac:dyDescent="0.25">
      <c r="M4" s="7"/>
      <c r="N4" s="7"/>
      <c r="O4" s="7"/>
    </row>
    <row r="5" spans="1:15" x14ac:dyDescent="0.25">
      <c r="A5" s="1" t="s">
        <v>57</v>
      </c>
    </row>
    <row r="6" spans="1:15" x14ac:dyDescent="0.25">
      <c r="A6" t="s">
        <v>102</v>
      </c>
      <c r="B6" s="24">
        <f>+B2+Constants!$B$5</f>
        <v>7792.1369999999997</v>
      </c>
      <c r="C6" s="24">
        <f>+C2+Constants!$B$5</f>
        <v>16733.136999999999</v>
      </c>
      <c r="D6" s="24">
        <f>+D2+Constants!$B$5</f>
        <v>42164.137000000002</v>
      </c>
    </row>
    <row r="7" spans="1:15" x14ac:dyDescent="0.25">
      <c r="A7" t="s">
        <v>101</v>
      </c>
      <c r="B7" s="24">
        <f>+DEGREES(ASIN(Constants!$B$5/Delay!B6*SIN(RADIANS(90+Delay!B3))))</f>
        <v>50.27953199483747</v>
      </c>
      <c r="C7" s="24">
        <f>+DEGREES(ASIN(Constants!$B$5/Delay!C6*SIN(RADIANS(90+Delay!C3))))</f>
        <v>20.988514229139682</v>
      </c>
      <c r="D7" s="24">
        <f>+DEGREES(ASIN(Constants!$B$5/Delay!D6*SIN(RADIANS(90+Delay!D3))))</f>
        <v>8.1720792257392478</v>
      </c>
    </row>
    <row r="8" spans="1:15" x14ac:dyDescent="0.25">
      <c r="A8" t="s">
        <v>103</v>
      </c>
      <c r="B8" s="24">
        <f>180-B7-(90+B3)</f>
        <v>19.72046800516253</v>
      </c>
      <c r="C8" s="24">
        <f>180-C7-(90+C3)</f>
        <v>49.011485770860304</v>
      </c>
      <c r="D8" s="24">
        <f>180-D7-(90+D3)</f>
        <v>61.827920774260747</v>
      </c>
    </row>
    <row r="9" spans="1:15" x14ac:dyDescent="0.25">
      <c r="A9" t="s">
        <v>104</v>
      </c>
      <c r="B9" s="24">
        <f>+SQRT(B6*B6+Constants!B5*Constants!B5-2*Constants!B5*Delay!B6*COS(RADIANS(Delay!B8)))</f>
        <v>2798.0564103468328</v>
      </c>
      <c r="C9" s="24">
        <f>+SQRT(C6*C6+Constants!C5*Constants!C5-2*Constants!C5*Delay!C6*COS(RADIANS(Delay!C8)))</f>
        <v>16733.136999999999</v>
      </c>
      <c r="D9" s="24">
        <f>+SQRT(D6*D6+Constants!D5*Constants!D5-2*Constants!D5*Delay!D6*COS(RADIANS(Delay!D8)))</f>
        <v>42164.137000000002</v>
      </c>
    </row>
    <row r="11" spans="1:15" x14ac:dyDescent="0.25">
      <c r="A11" s="1" t="s">
        <v>30</v>
      </c>
    </row>
    <row r="12" spans="1:15" x14ac:dyDescent="0.25">
      <c r="A12" t="s">
        <v>105</v>
      </c>
      <c r="B12" s="15">
        <f>+B9/Constants!$B$2*1000*2*1000</f>
        <v>18.666623096614607</v>
      </c>
      <c r="C12" s="15">
        <f>+C9/Constants!$B$2*1000*2*1000</f>
        <v>111.6314740646344</v>
      </c>
      <c r="D12" s="15">
        <f>+D9/Constants!$B$2*1000*2*1000</f>
        <v>281.2888441643185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Constants</vt:lpstr>
      <vt:lpstr>EarthPos</vt:lpstr>
      <vt:lpstr>GSOPos</vt:lpstr>
      <vt:lpstr>DistAngles</vt:lpstr>
      <vt:lpstr>Pattern</vt:lpstr>
      <vt:lpstr>LBs</vt:lpstr>
      <vt:lpstr>Shannon</vt:lpstr>
      <vt:lpstr>Noise</vt:lpstr>
      <vt:lpstr>Delay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Pahl</dc:creator>
  <cp:lastModifiedBy>John Pahl</cp:lastModifiedBy>
  <dcterms:created xsi:type="dcterms:W3CDTF">2014-10-23T10:34:59Z</dcterms:created>
  <dcterms:modified xsi:type="dcterms:W3CDTF">2015-02-20T16:28:06Z</dcterms:modified>
</cp:coreProperties>
</file>